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574" lockStructure="1"/>
  <bookViews>
    <workbookView xWindow="120" yWindow="45" windowWidth="28635" windowHeight="12525"/>
  </bookViews>
  <sheets>
    <sheet name="расчет стоимости" sheetId="2" r:id="rId1"/>
    <sheet name="Лист1" sheetId="1" state="hidden" r:id="rId2"/>
    <sheet name="таблица" sheetId="3" state="hidden" r:id="rId3"/>
  </sheets>
  <definedNames>
    <definedName name="_xlnm.Print_Area" localSheetId="0">'расчет стоимости'!$A$1:$J$29</definedName>
  </definedNames>
  <calcPr calcId="145621"/>
</workbook>
</file>

<file path=xl/calcChain.xml><?xml version="1.0" encoding="utf-8"?>
<calcChain xmlns="http://schemas.openxmlformats.org/spreadsheetml/2006/main">
  <c r="B19" i="1" l="1"/>
  <c r="B17" i="1" l="1"/>
  <c r="B15" i="1"/>
  <c r="B11" i="1"/>
  <c r="B13" i="1"/>
  <c r="B54" i="3" l="1"/>
  <c r="B30" i="1" s="1"/>
  <c r="C26" i="2" s="1"/>
  <c r="B52" i="3"/>
  <c r="B28" i="1" s="1"/>
  <c r="G28" i="1" s="1"/>
  <c r="B48" i="3"/>
  <c r="C45" i="3"/>
  <c r="B45" i="3"/>
  <c r="B41" i="3"/>
  <c r="B39" i="3"/>
  <c r="C34" i="3"/>
  <c r="C32" i="3"/>
  <c r="B37" i="3"/>
  <c r="B34" i="3"/>
  <c r="B32" i="3"/>
  <c r="B30" i="3"/>
  <c r="H27" i="1" l="1"/>
  <c r="D52" i="3"/>
</calcChain>
</file>

<file path=xl/sharedStrings.xml><?xml version="1.0" encoding="utf-8"?>
<sst xmlns="http://schemas.openxmlformats.org/spreadsheetml/2006/main" count="71" uniqueCount="63">
  <si>
    <t>ставка</t>
  </si>
  <si>
    <t>с1</t>
  </si>
  <si>
    <t>вид работ</t>
  </si>
  <si>
    <t>уровень напряжения</t>
  </si>
  <si>
    <t>уровень напряжения (кВ)</t>
  </si>
  <si>
    <t>оформление документов</t>
  </si>
  <si>
    <t>до 15</t>
  </si>
  <si>
    <t>до 150</t>
  </si>
  <si>
    <t>больше 150</t>
  </si>
  <si>
    <t>строительство воздушных линий</t>
  </si>
  <si>
    <t>строительство кабельных линий</t>
  </si>
  <si>
    <t>с2</t>
  </si>
  <si>
    <t>с3</t>
  </si>
  <si>
    <t>пункты секционирования</t>
  </si>
  <si>
    <t>трансформаторные подстанции</t>
  </si>
  <si>
    <t>с4</t>
  </si>
  <si>
    <t>с41</t>
  </si>
  <si>
    <t>Расчет предварительной стоимости технологического присоединения (справочно)</t>
  </si>
  <si>
    <t>постоянные</t>
  </si>
  <si>
    <t>временные</t>
  </si>
  <si>
    <t>виды технических условий</t>
  </si>
  <si>
    <t>Вид присоединения</t>
  </si>
  <si>
    <t>категория надежности</t>
  </si>
  <si>
    <t>Оринетировочный расмер платы за технологическое присоединение энергопринимающих устройств к элекрическим сетям АО "КСК"</t>
  </si>
  <si>
    <t>Максимальная присоединяемая мощность кВт</t>
  </si>
  <si>
    <t>расстояние до ближайших электросетевых объектов (для заявок максимальная мощность которых до 15кВт)</t>
  </si>
  <si>
    <t>временное подключение</t>
  </si>
  <si>
    <t>постоянное подключение 0,4 150кВт</t>
  </si>
  <si>
    <t>постоянное подключение 0,4 15 кВт</t>
  </si>
  <si>
    <t>3 категория</t>
  </si>
  <si>
    <t>2 категория</t>
  </si>
  <si>
    <t>постоянное подлкючение 10 до 150</t>
  </si>
  <si>
    <t>постоянное подлкючение 10 свыше 150</t>
  </si>
  <si>
    <t>постоянное подключение 3 категория</t>
  </si>
  <si>
    <t>постоянное подключение 2 категория</t>
  </si>
  <si>
    <t>выбор категории</t>
  </si>
  <si>
    <t>постоянное подключение до 15 по расстоянию</t>
  </si>
  <si>
    <t>расчет мощности постоянный полный</t>
  </si>
  <si>
    <t>полная формула</t>
  </si>
  <si>
    <t>без ндс</t>
  </si>
  <si>
    <t>с учетом НДС</t>
  </si>
  <si>
    <t>проверка НДС</t>
  </si>
  <si>
    <t>2 кат. До 15 кВТ</t>
  </si>
  <si>
    <t>* при веременном присоединении допускается категория надежности 3, мощность не более 150кВт</t>
  </si>
  <si>
    <t>Расчет предварительной стоимости технологического присоединения</t>
  </si>
  <si>
    <t>Субъект РФ</t>
  </si>
  <si>
    <t>Ставропольский край</t>
  </si>
  <si>
    <t>Сетевая организация</t>
  </si>
  <si>
    <t>АО "КСК"</t>
  </si>
  <si>
    <t xml:space="preserve">Вид присоединения:  </t>
  </si>
  <si>
    <t>кВт.</t>
  </si>
  <si>
    <t>Категория надежности энергопринимающих устройств</t>
  </si>
  <si>
    <t>кВ</t>
  </si>
  <si>
    <t>Расстояние до ближайших электросетевых объектов</t>
  </si>
  <si>
    <t>Уровень напряжения 0,4(0,23) / 10кВ</t>
  </si>
  <si>
    <t>рублей с учетом НДС 18%</t>
  </si>
  <si>
    <t>* при временном присоединении  категория надежности 3, мощность не более 150кВт</t>
  </si>
  <si>
    <t>(для потребителей  максимальная мощность энергопринимающих устройств составляет до 15кВт)</t>
  </si>
  <si>
    <t>0.4</t>
  </si>
  <si>
    <t>менее 300 м</t>
  </si>
  <si>
    <t xml:space="preserve">     Калькулятор стоимости технологического присоединения предназначен для расчета ориентировочной стоимости технологического присоединения, в соответствии с утвержденными ставками за единицу максимальной мощности и с учетом ориентировочного объема мероприятий сетевой орагнизации по присоединению объекта.</t>
  </si>
  <si>
    <t>Размер платы за технологическое присоединение энергопринимающих устройств к электрическим сетям АО "КСК"</t>
  </si>
  <si>
    <t>Выполненый расчет является ориентировочным, итоговая стоимость технологического присоединения будет определена сетевой организацией в соответствии с утвержденными ставками после подачи Вами заявки на технологическое присоединение при подготовке Договора об осуществлении технологического присоединения.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</si>
</sst>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7" fillId="0" borderId="0" xfId="0" applyFont="1"/>
    <xf numFmtId="0" fontId="5" fillId="0" borderId="0" xfId="0" applyFont="1"/>
    <xf numFmtId="0" fontId="5" fillId="0" borderId="2" xfId="0" applyFont="1" applyBorder="1"/>
    <xf numFmtId="0" fontId="0" fillId="0" borderId="2" xfId="0" applyBorder="1"/>
    <xf numFmtId="43" fontId="10" fillId="0" borderId="2" xfId="1" applyNumberFormat="1" applyFont="1" applyBorder="1"/>
    <xf numFmtId="0" fontId="11" fillId="0" borderId="2" xfId="0" applyFont="1" applyBorder="1"/>
    <xf numFmtId="0" fontId="5" fillId="0" borderId="0" xfId="0" applyFont="1" applyBorder="1"/>
    <xf numFmtId="0" fontId="0" fillId="0" borderId="3" xfId="0" applyBorder="1"/>
    <xf numFmtId="0" fontId="10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4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0</xdr:colOff>
      <xdr:row>6</xdr:row>
      <xdr:rowOff>90846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38" b="-138"/>
        <a:stretch/>
      </xdr:blipFill>
      <xdr:spPr>
        <a:xfrm>
          <a:off x="0" y="0"/>
          <a:ext cx="6462346" cy="1233846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RowColHeaders="0" tabSelected="1" topLeftCell="A7" zoomScale="145" zoomScaleNormal="145" zoomScaleSheetLayoutView="130" zoomScalePageLayoutView="145" workbookViewId="0">
      <selection activeCell="H20" sqref="H20"/>
    </sheetView>
  </sheetViews>
  <sheetFormatPr defaultRowHeight="15" x14ac:dyDescent="0.25"/>
  <cols>
    <col min="3" max="3" width="10.140625" customWidth="1"/>
    <col min="4" max="5" width="9.7109375" customWidth="1"/>
    <col min="7" max="7" width="12.7109375" customWidth="1"/>
  </cols>
  <sheetData>
    <row r="1" spans="1:10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9.7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35.25" customHeight="1" x14ac:dyDescent="0.25">
      <c r="A8" s="33" t="s">
        <v>44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5">
      <c r="A9" s="22" t="s">
        <v>60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50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9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1"/>
    </row>
    <row r="12" spans="1:10" ht="15.75" x14ac:dyDescent="0.25">
      <c r="A12" s="12" t="s">
        <v>45</v>
      </c>
      <c r="B12" s="12"/>
      <c r="C12" s="12" t="s">
        <v>46</v>
      </c>
      <c r="D12" s="12"/>
      <c r="E12" s="12"/>
      <c r="F12" s="27" t="s">
        <v>47</v>
      </c>
      <c r="G12" s="27"/>
      <c r="H12" s="27"/>
      <c r="I12" s="34" t="s">
        <v>48</v>
      </c>
      <c r="J12" s="34"/>
    </row>
    <row r="13" spans="1:10" ht="8.2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1"/>
    </row>
    <row r="14" spans="1:10" ht="15.75" x14ac:dyDescent="0.25">
      <c r="A14" s="27" t="s">
        <v>49</v>
      </c>
      <c r="B14" s="27"/>
      <c r="C14" s="27"/>
      <c r="D14" s="14"/>
      <c r="E14" s="19" t="s">
        <v>18</v>
      </c>
      <c r="F14" s="13"/>
      <c r="G14" s="28" t="s">
        <v>56</v>
      </c>
      <c r="H14" s="28"/>
      <c r="I14" s="28"/>
      <c r="J14" s="28"/>
    </row>
    <row r="15" spans="1:10" ht="9.75" customHeight="1" x14ac:dyDescent="0.25">
      <c r="A15" s="12"/>
      <c r="B15" s="12"/>
      <c r="C15" s="12"/>
      <c r="D15" s="12"/>
      <c r="E15" s="12"/>
      <c r="F15" s="12"/>
      <c r="G15" s="28"/>
      <c r="H15" s="28"/>
      <c r="I15" s="28"/>
      <c r="J15" s="28"/>
    </row>
    <row r="16" spans="1:10" ht="15.75" x14ac:dyDescent="0.25">
      <c r="A16" s="12" t="s">
        <v>24</v>
      </c>
      <c r="B16" s="12"/>
      <c r="C16" s="12"/>
      <c r="D16" s="12"/>
      <c r="E16" s="12"/>
      <c r="F16" s="13"/>
      <c r="G16" s="15">
        <v>25</v>
      </c>
      <c r="H16" s="13"/>
      <c r="I16" s="12" t="s">
        <v>50</v>
      </c>
      <c r="J16" s="11"/>
    </row>
    <row r="17" spans="1:10" ht="7.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1"/>
    </row>
    <row r="18" spans="1:10" ht="15.75" x14ac:dyDescent="0.25">
      <c r="A18" s="30" t="s">
        <v>54</v>
      </c>
      <c r="B18" s="30"/>
      <c r="C18" s="30"/>
      <c r="D18" s="30"/>
      <c r="E18" s="12"/>
      <c r="F18" s="12"/>
      <c r="G18" s="29" t="s">
        <v>51</v>
      </c>
      <c r="H18" s="29"/>
      <c r="I18" s="29"/>
      <c r="J18" s="29"/>
    </row>
    <row r="19" spans="1:10" ht="15.75" x14ac:dyDescent="0.25">
      <c r="A19" s="30"/>
      <c r="B19" s="30"/>
      <c r="C19" s="30"/>
      <c r="D19" s="30"/>
      <c r="E19" s="12"/>
      <c r="F19" s="12"/>
      <c r="G19" s="29"/>
      <c r="H19" s="29"/>
      <c r="I19" s="29"/>
      <c r="J19" s="29"/>
    </row>
    <row r="20" spans="1:10" ht="15.75" x14ac:dyDescent="0.25">
      <c r="A20" s="17"/>
      <c r="B20" s="21" t="s">
        <v>58</v>
      </c>
      <c r="C20" s="13"/>
      <c r="D20" s="12" t="s">
        <v>52</v>
      </c>
      <c r="E20" s="12"/>
      <c r="F20" s="12"/>
      <c r="G20" s="17"/>
      <c r="H20" s="20">
        <v>3</v>
      </c>
      <c r="I20" s="17"/>
      <c r="J20" s="11"/>
    </row>
    <row r="21" spans="1:10" ht="15.7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1"/>
    </row>
    <row r="22" spans="1:10" ht="15.75" x14ac:dyDescent="0.25">
      <c r="A22" s="12" t="s">
        <v>53</v>
      </c>
      <c r="B22" s="12"/>
      <c r="C22" s="12"/>
      <c r="D22" s="12"/>
      <c r="E22" s="12"/>
      <c r="F22" s="12"/>
      <c r="G22" s="16" t="s">
        <v>59</v>
      </c>
      <c r="H22" s="12"/>
      <c r="I22" s="12"/>
      <c r="J22" s="11"/>
    </row>
    <row r="23" spans="1:10" ht="15.75" customHeight="1" x14ac:dyDescent="0.25">
      <c r="A23" s="31" t="s">
        <v>57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 customHeight="1" x14ac:dyDescent="0.25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24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.75" customHeight="1" x14ac:dyDescent="0.25">
      <c r="A26" s="12"/>
      <c r="B26" s="17"/>
      <c r="C26" s="24">
        <f>Лист1!B30</f>
        <v>143344.33499999999</v>
      </c>
      <c r="D26" s="25"/>
      <c r="E26" s="25"/>
      <c r="F26" s="17"/>
      <c r="G26" s="12"/>
      <c r="H26" s="12"/>
      <c r="I26" s="12"/>
      <c r="J26" s="11"/>
    </row>
    <row r="27" spans="1:10" ht="16.5" customHeight="1" thickBot="1" x14ac:dyDescent="0.3">
      <c r="A27" s="12"/>
      <c r="B27" s="17"/>
      <c r="C27" s="26"/>
      <c r="D27" s="26"/>
      <c r="E27" s="26"/>
      <c r="F27" s="18"/>
      <c r="G27" s="12" t="s">
        <v>55</v>
      </c>
      <c r="H27" s="12"/>
      <c r="I27" s="12"/>
      <c r="J27" s="11"/>
    </row>
    <row r="28" spans="1:10" ht="15.75" x14ac:dyDescent="0.25">
      <c r="A28" s="12"/>
      <c r="B28" s="17"/>
      <c r="C28" s="12"/>
      <c r="D28" s="12"/>
      <c r="E28" s="12"/>
      <c r="F28" s="12"/>
      <c r="G28" s="12"/>
      <c r="H28" s="12"/>
      <c r="I28" s="12"/>
      <c r="J28" s="11"/>
    </row>
    <row r="29" spans="1:10" ht="15.75" customHeight="1" x14ac:dyDescent="0.25">
      <c r="A29" s="22" t="s">
        <v>62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32.2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</sheetData>
  <sheetProtection password="9574" sheet="1" objects="1" scenarios="1" formatCells="0" formatColumns="0" formatRows="0" insertColumns="0" insertRows="0" insertHyperlinks="0" deleteColumns="0" deleteRows="0" sort="0" autoFilter="0" pivotTables="0"/>
  <protectedRanges>
    <protectedRange sqref="G22" name="расстояние"/>
    <protectedRange sqref="H20" name="категория надежности"/>
    <protectedRange sqref="B20" name="уровень напряжения"/>
    <protectedRange sqref="G16" name="мощность"/>
    <protectedRange sqref="E14" name="вид присоединения"/>
  </protectedRanges>
  <mergeCells count="13">
    <mergeCell ref="A1:J7"/>
    <mergeCell ref="A8:J8"/>
    <mergeCell ref="A9:J10"/>
    <mergeCell ref="I12:J12"/>
    <mergeCell ref="F12:H12"/>
    <mergeCell ref="A29:J31"/>
    <mergeCell ref="A24:J25"/>
    <mergeCell ref="C26:E27"/>
    <mergeCell ref="A14:C14"/>
    <mergeCell ref="G14:J15"/>
    <mergeCell ref="G18:J19"/>
    <mergeCell ref="A18:D19"/>
    <mergeCell ref="A23:J23"/>
  </mergeCells>
  <dataValidations count="4">
    <dataValidation type="list" allowBlank="1" showInputMessage="1" showErrorMessage="1" sqref="B20">
      <formula1>"0.4,10"</formula1>
    </dataValidation>
    <dataValidation type="list" allowBlank="1" showInputMessage="1" showErrorMessage="1" sqref="H20">
      <formula1>"3, 2"</formula1>
    </dataValidation>
    <dataValidation type="list" allowBlank="1" showInputMessage="1" showErrorMessage="1" sqref="G22">
      <formula1>"менее 300 м, более 300 м"</formula1>
    </dataValidation>
    <dataValidation type="list" allowBlank="1" showInputMessage="1" showErrorMessage="1" sqref="E14">
      <formula1>"постоянные, временные"</formula1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0"/>
  <sheetViews>
    <sheetView topLeftCell="A10" zoomScale="130" zoomScaleNormal="130" workbookViewId="0">
      <selection activeCell="B20" sqref="B20"/>
    </sheetView>
  </sheetViews>
  <sheetFormatPr defaultRowHeight="15" x14ac:dyDescent="0.25"/>
  <cols>
    <col min="1" max="1" width="46.7109375" customWidth="1"/>
    <col min="2" max="2" width="15.7109375" customWidth="1"/>
    <col min="7" max="7" width="15" customWidth="1"/>
    <col min="8" max="8" width="13.7109375" bestFit="1" customWidth="1"/>
  </cols>
  <sheetData>
    <row r="6" spans="1:4" x14ac:dyDescent="0.25">
      <c r="A6" t="s">
        <v>17</v>
      </c>
    </row>
    <row r="11" spans="1:4" x14ac:dyDescent="0.25">
      <c r="A11" s="6" t="s">
        <v>24</v>
      </c>
      <c r="B11" s="7">
        <f>'расчет стоимости'!G16</f>
        <v>25</v>
      </c>
    </row>
    <row r="13" spans="1:4" x14ac:dyDescent="0.25">
      <c r="A13" s="6" t="s">
        <v>21</v>
      </c>
      <c r="B13" s="8" t="str">
        <f>'расчет стоимости'!E14</f>
        <v>постоянные</v>
      </c>
      <c r="D13" t="s">
        <v>43</v>
      </c>
    </row>
    <row r="15" spans="1:4" x14ac:dyDescent="0.25">
      <c r="A15" s="6" t="s">
        <v>3</v>
      </c>
      <c r="B15" s="6" t="str">
        <f>'расчет стоимости'!B20</f>
        <v>0.4</v>
      </c>
    </row>
    <row r="17" spans="1:8" x14ac:dyDescent="0.25">
      <c r="A17" s="6" t="s">
        <v>22</v>
      </c>
      <c r="B17" s="6">
        <f>'расчет стоимости'!H20</f>
        <v>3</v>
      </c>
    </row>
    <row r="19" spans="1:8" ht="45" x14ac:dyDescent="0.25">
      <c r="A19" s="9" t="s">
        <v>25</v>
      </c>
      <c r="B19" s="6" t="str">
        <f>'расчет стоимости'!G22</f>
        <v>менее 300 м</v>
      </c>
    </row>
    <row r="24" spans="1:8" x14ac:dyDescent="0.25">
      <c r="A24" t="s">
        <v>23</v>
      </c>
    </row>
    <row r="27" spans="1:8" x14ac:dyDescent="0.25">
      <c r="A27" t="s">
        <v>39</v>
      </c>
      <c r="G27" t="s">
        <v>42</v>
      </c>
      <c r="H27">
        <f>(B28-550)*1.18+550</f>
        <v>234865.54999999996</v>
      </c>
    </row>
    <row r="28" spans="1:8" x14ac:dyDescent="0.25">
      <c r="B28" s="5">
        <f>таблица!B52</f>
        <v>199122.49999999997</v>
      </c>
      <c r="E28" t="s">
        <v>41</v>
      </c>
      <c r="G28" s="4">
        <f>B28*1.18</f>
        <v>234964.54999999996</v>
      </c>
      <c r="H28" s="4"/>
    </row>
    <row r="30" spans="1:8" x14ac:dyDescent="0.25">
      <c r="A30" t="s">
        <v>40</v>
      </c>
      <c r="B30" s="4">
        <f>таблица!B54</f>
        <v>143344.33499999999</v>
      </c>
    </row>
  </sheetData>
  <sheetProtection password="9574" sheet="1"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54"/>
  <sheetViews>
    <sheetView topLeftCell="A40" zoomScale="160" zoomScaleNormal="160" workbookViewId="0">
      <selection activeCell="B55" sqref="B55"/>
    </sheetView>
  </sheetViews>
  <sheetFormatPr defaultRowHeight="15" x14ac:dyDescent="0.25"/>
  <cols>
    <col min="1" max="1" width="37.140625" customWidth="1"/>
    <col min="2" max="2" width="15.42578125" customWidth="1"/>
    <col min="3" max="3" width="14.5703125" customWidth="1"/>
    <col min="4" max="4" width="15.7109375" customWidth="1"/>
    <col min="5" max="5" width="11.5703125" bestFit="1" customWidth="1"/>
    <col min="6" max="6" width="8.42578125" customWidth="1"/>
    <col min="7" max="7" width="8.7109375" customWidth="1"/>
    <col min="8" max="8" width="11.5703125" bestFit="1" customWidth="1"/>
  </cols>
  <sheetData>
    <row r="10" spans="1:8" x14ac:dyDescent="0.25">
      <c r="A10" s="36" t="s">
        <v>2</v>
      </c>
      <c r="B10" s="36" t="s">
        <v>0</v>
      </c>
      <c r="C10" s="36" t="s">
        <v>4</v>
      </c>
      <c r="D10" s="36"/>
      <c r="E10" s="36"/>
      <c r="F10" s="36"/>
      <c r="G10" s="36"/>
      <c r="H10" s="36"/>
    </row>
    <row r="11" spans="1:8" x14ac:dyDescent="0.25">
      <c r="A11" s="36"/>
      <c r="B11" s="36"/>
      <c r="C11" s="36">
        <v>0.4</v>
      </c>
      <c r="D11" s="36"/>
      <c r="E11" s="36"/>
      <c r="F11" s="36">
        <v>10</v>
      </c>
      <c r="G11" s="36"/>
      <c r="H11" s="36"/>
    </row>
    <row r="12" spans="1:8" x14ac:dyDescent="0.25">
      <c r="A12" s="36"/>
      <c r="B12" s="36"/>
      <c r="C12" s="2" t="s">
        <v>6</v>
      </c>
      <c r="D12" s="2" t="s">
        <v>7</v>
      </c>
      <c r="E12" s="2" t="s">
        <v>8</v>
      </c>
      <c r="F12" s="2" t="s">
        <v>6</v>
      </c>
      <c r="G12" s="2" t="s">
        <v>7</v>
      </c>
      <c r="H12" s="2" t="s">
        <v>8</v>
      </c>
    </row>
    <row r="13" spans="1:8" x14ac:dyDescent="0.25">
      <c r="A13" s="1" t="s">
        <v>5</v>
      </c>
      <c r="B13" s="1" t="s">
        <v>1</v>
      </c>
      <c r="C13" s="1">
        <v>880.32</v>
      </c>
      <c r="D13" s="1">
        <v>39.6</v>
      </c>
      <c r="E13" s="1">
        <v>39.6</v>
      </c>
      <c r="F13" s="1">
        <v>880.32</v>
      </c>
      <c r="G13" s="1">
        <v>12.44</v>
      </c>
      <c r="H13" s="1">
        <v>12.44</v>
      </c>
    </row>
    <row r="14" spans="1:8" x14ac:dyDescent="0.25">
      <c r="A14" s="1" t="s">
        <v>9</v>
      </c>
      <c r="B14" s="1" t="s">
        <v>11</v>
      </c>
      <c r="C14" s="1">
        <v>3050.25</v>
      </c>
      <c r="D14" s="1">
        <v>3050.25</v>
      </c>
      <c r="E14" s="1">
        <v>6100.5</v>
      </c>
      <c r="F14" s="1">
        <v>2737.01</v>
      </c>
      <c r="G14" s="1">
        <v>2737.01</v>
      </c>
      <c r="H14" s="1">
        <v>5474.02</v>
      </c>
    </row>
    <row r="15" spans="1:8" x14ac:dyDescent="0.25">
      <c r="A15" s="1" t="s">
        <v>10</v>
      </c>
      <c r="B15" s="1" t="s">
        <v>12</v>
      </c>
      <c r="C15" s="1">
        <v>1769.28</v>
      </c>
      <c r="D15" s="1">
        <v>1769.28</v>
      </c>
      <c r="E15" s="1">
        <v>3538.57</v>
      </c>
      <c r="F15" s="1">
        <v>1734.7</v>
      </c>
      <c r="G15" s="1">
        <v>1734.7</v>
      </c>
      <c r="H15" s="1">
        <v>3469.4</v>
      </c>
    </row>
    <row r="16" spans="1:8" x14ac:dyDescent="0.25">
      <c r="A16" s="1" t="s">
        <v>13</v>
      </c>
      <c r="B16" s="1" t="s">
        <v>16</v>
      </c>
      <c r="C16" s="1">
        <v>874.11</v>
      </c>
      <c r="D16" s="1">
        <v>874.11</v>
      </c>
      <c r="E16" s="1">
        <v>1748.23</v>
      </c>
      <c r="F16" s="1">
        <v>874.11</v>
      </c>
      <c r="G16" s="1">
        <v>874.11</v>
      </c>
      <c r="H16" s="1">
        <v>1748.23</v>
      </c>
    </row>
    <row r="17" spans="1:8" x14ac:dyDescent="0.25">
      <c r="A17" s="1" t="s">
        <v>14</v>
      </c>
      <c r="B17" s="1" t="s">
        <v>15</v>
      </c>
      <c r="C17" s="1">
        <v>2606.64</v>
      </c>
      <c r="D17" s="1">
        <v>2606.64</v>
      </c>
      <c r="E17" s="1">
        <v>5213.28</v>
      </c>
      <c r="F17" s="1">
        <v>2606.64</v>
      </c>
      <c r="G17" s="1">
        <v>2606.64</v>
      </c>
      <c r="H17" s="1">
        <v>5213.28</v>
      </c>
    </row>
    <row r="22" spans="1:8" x14ac:dyDescent="0.25">
      <c r="A22" t="s">
        <v>20</v>
      </c>
    </row>
    <row r="23" spans="1:8" x14ac:dyDescent="0.25">
      <c r="A23" t="s">
        <v>18</v>
      </c>
      <c r="F23" t="s">
        <v>3</v>
      </c>
    </row>
    <row r="24" spans="1:8" x14ac:dyDescent="0.25">
      <c r="A24" t="s">
        <v>19</v>
      </c>
    </row>
    <row r="26" spans="1:8" x14ac:dyDescent="0.25">
      <c r="B26" s="35" t="s">
        <v>22</v>
      </c>
      <c r="C26" s="35"/>
    </row>
    <row r="27" spans="1:8" x14ac:dyDescent="0.25">
      <c r="B27" t="s">
        <v>29</v>
      </c>
      <c r="C27" t="s">
        <v>30</v>
      </c>
    </row>
    <row r="30" spans="1:8" x14ac:dyDescent="0.25">
      <c r="A30" t="s">
        <v>26</v>
      </c>
      <c r="B30" s="3">
        <f>IF(Лист1!B11&lt;=15,550,IF(Лист1!B15=10,Лист1!B11*таблица!G13,Лист1!B11*E13))</f>
        <v>990</v>
      </c>
    </row>
    <row r="32" spans="1:8" x14ac:dyDescent="0.25">
      <c r="A32" t="s">
        <v>28</v>
      </c>
      <c r="B32" s="3">
        <f>IF(Лист1!B11&lt;=15,550,IF(Лист1!B11&lt;=150,Лист1!B11*таблица!D13+Лист1!B11*(таблица!D14+таблица!D15),Лист1!B11*таблица!E13+Лист1!B11*(таблица!E14+таблица!E15+таблица!E16+таблица!E17)))</f>
        <v>121478.25</v>
      </c>
      <c r="C32" s="3">
        <f>IF(Лист1!B11&lt;=15,550,IF(Лист1!B11&lt;=150,Лист1!B11*таблица!D13+Лист1!B11*2*(таблица!D14+таблица!D15),Лист1!B11*таблица!E13+Лист1!B11*2*(таблица!E14+таблица!E15+таблица!E16+таблица!E17)))</f>
        <v>241966.5</v>
      </c>
    </row>
    <row r="33" spans="1:3" x14ac:dyDescent="0.25">
      <c r="A33" t="s">
        <v>27</v>
      </c>
      <c r="B33" s="3"/>
    </row>
    <row r="34" spans="1:3" x14ac:dyDescent="0.25">
      <c r="A34" t="s">
        <v>31</v>
      </c>
      <c r="B34" s="3">
        <f>IF(Лист1!B11&lt;=150,Лист1!B11*таблица!G13+Лист1!B11*(таблица!G14+таблица!G15+таблица!G16+таблица!G17),Лист1!B11*таблица!H13+Лист1!B11*(таблица!H14+таблица!H15+таблица!H16+таблица!H17))</f>
        <v>199122.49999999997</v>
      </c>
      <c r="C34" s="3">
        <f>IF(Лист1!B11&lt;=150,Лист1!B11*таблица!G13+Лист1!B11*2*(таблица!G14+таблица!G15+таблица!G16+таблица!G17),Лист1!B11*таблица!H13+Лист1!B11*2*(таблица!H14+таблица!H15+таблица!H16+таблица!H17))</f>
        <v>397933.99999999994</v>
      </c>
    </row>
    <row r="35" spans="1:3" x14ac:dyDescent="0.25">
      <c r="A35" t="s">
        <v>32</v>
      </c>
    </row>
    <row r="37" spans="1:3" x14ac:dyDescent="0.25">
      <c r="A37" t="s">
        <v>33</v>
      </c>
      <c r="B37" s="3">
        <f>IF(Лист1!B15=0.4,IF(Лист1!B11&lt;=15,550,IF(Лист1!B11&lt;=150,Лист1!B11*таблица!D13+Лист1!B11*(таблица!D14+таблица!D15),Лист1!B11*таблица!E13+Лист1!B11*(таблица!E14+таблица!E15+таблица!E16+таблица!E17))),IF(Лист1!B11&lt;=150,Лист1!B11*таблица!G13+Лист1!B11*(таблица!G14+таблица!G15+таблица!G16+таблица!G17),Лист1!B11*таблица!H13+Лист1!B11*(таблица!H14+таблица!H15+таблица!H16+таблица!H17)))</f>
        <v>199122.49999999997</v>
      </c>
    </row>
    <row r="39" spans="1:3" x14ac:dyDescent="0.25">
      <c r="A39" t="s">
        <v>34</v>
      </c>
      <c r="B39" s="3">
        <f>IF(Лист1!B15=0.4,IF(Лист1!B11&lt;=15,550,IF(Лист1!B11&lt;=150,Лист1!B11*таблица!D13+Лист1!B11*2*(таблица!D14+таблица!D15),Лист1!B11*таблица!E13+Лист1!B11*2*(таблица!E14+таблица!E15+таблица!E16+таблица!E17))),IF(Лист1!B11&lt;=150,Лист1!B11*таблица!G13+Лист1!B11*2*(таблица!G14+таблица!G15+таблица!G16+таблица!G17),Лист1!B11*таблица!H13+Лист1!B11*2*(таблица!H14+таблица!H15+таблица!H16+таблица!H17)))</f>
        <v>397933.99999999994</v>
      </c>
    </row>
    <row r="41" spans="1:3" x14ac:dyDescent="0.25">
      <c r="A41" t="s">
        <v>35</v>
      </c>
      <c r="B41" s="3">
        <f>IF(Лист1!B17=3,IF(Лист1!B15=0.4,IF(Лист1!B11&lt;=15,550,IF(Лист1!B11&lt;=150,Лист1!B11*таблица!D13+Лист1!B11*(таблица!D14+таблица!D15),Лист1!B11*таблица!E13+Лист1!B11*(таблица!E14+таблица!E15+таблица!E16+таблица!E17))),IF(Лист1!B11&lt;=150,Лист1!B11*таблица!G13+Лист1!B11*(таблица!G14+таблица!G15+таблица!G16+таблица!G17),Лист1!B11*таблица!H13+Лист1!B11*(таблица!H14+таблица!H15+таблица!H16+таблица!H17))),IF(Лист1!B15=0.4,IF(Лист1!B11&lt;=15,550,IF(Лист1!B11&lt;=150,Лист1!B11*таблица!D13+Лист1!B11*2*(таблица!D14+таблица!D15),Лист1!B11*таблица!E13+Лист1!B11*2*(таблица!E14+таблица!E15+таблица!E16+таблица!E17))),IF(Лист1!B11&lt;=150,Лист1!B11*таблица!G13+Лист1!B11*2*(таблица!G14+таблица!G15+таблица!G16+таблица!G17),Лист1!B11*таблица!H13+Лист1!B11*2*(таблица!H14+таблица!H15+таблица!H16+таблица!H17))))</f>
        <v>199122.49999999997</v>
      </c>
    </row>
    <row r="45" spans="1:3" x14ac:dyDescent="0.25">
      <c r="A45" t="s">
        <v>36</v>
      </c>
      <c r="B45" s="3">
        <f>IF(Лист1!B19="менее 300 м",550,Лист1!B11*таблица!C13+Лист1!B11*(таблица!C14+таблица!C15+таблица!C16+таблица!C17))</f>
        <v>550</v>
      </c>
      <c r="C45" s="3">
        <f>IF(Лист1!B19="менее 300 м",550+Лист1!B11*таблица!C13+Лист1!B11*(таблица!C14+таблица!C15+таблица!C16+таблица!C17),Лист1!B11*таблица!C13+Лист1!B11*2*(таблица!C14+таблица!C15+таблица!C16+таблица!C17))</f>
        <v>230064.99999999997</v>
      </c>
    </row>
    <row r="48" spans="1:3" x14ac:dyDescent="0.25">
      <c r="A48" t="s">
        <v>37</v>
      </c>
      <c r="B48" s="3">
        <f>IF(Лист1!B17=3,IF(Лист1!B15=0.4,IF(Лист1!B11&lt;=15,IF(Лист1!B19="менее 300 м",550,Лист1!B11*таблица!C13+Лист1!B11*(таблица!C14+таблица!C15+таблица!C16+таблица!C17)),IF(Лист1!B11&lt;=150,Лист1!B11*таблица!D13+Лист1!B11*(таблица!D14+таблица!D15),Лист1!B11*таблица!E13+Лист1!B11*(таблица!E14+таблица!E15+таблица!E16+таблица!E17))),IF(Лист1!B11&lt;=150,Лист1!B11*таблица!G13+Лист1!B11*(таблица!G14+таблица!G15+таблица!G16+таблица!G17),Лист1!B11*таблица!H13+Лист1!B11*(таблица!H14+таблица!H15+таблица!H16+таблица!H17))),IF(Лист1!B15=0.4,IF(Лист1!B11&lt;=15,IF(Лист1!B19="менее 300 м",550+Лист1!B11*таблица!C13+Лист1!B11*(таблица!C14+таблица!C15+таблица!C16+таблица!C17),Лист1!B11*таблица!C13+Лист1!B11*2*(таблица!C14+таблица!C15+таблица!C16+таблица!C17)),IF(Лист1!B11&lt;=150,Лист1!B11*таблица!D13+Лист1!B11*2*(таблица!D14+таблица!D15),Лист1!B11*таблица!E13+Лист1!B11*2*(таблица!E14+таблица!E15+таблица!E16+таблица!E17))),IF(Лист1!B11&lt;=150,Лист1!B11*таблица!G13+Лист1!B11*2*(таблица!G14+таблица!G15+таблица!G16+таблица!G17),Лист1!B11*таблица!H13+Лист1!B11*2*(таблица!H14+таблица!H15+таблица!H16+таблица!H17))))</f>
        <v>199122.49999999997</v>
      </c>
    </row>
    <row r="52" spans="1:4" x14ac:dyDescent="0.25">
      <c r="A52" t="s">
        <v>38</v>
      </c>
      <c r="B52" s="3">
        <f>IF(Лист1!B13="временные",IF(Лист1!B11&lt;=15,550,IF(Лист1!B15=10,Лист1!B11*таблица!G13,Лист1!B11*E13)),IF(Лист1!B17=3,IF(Лист1!B15=0.4,IF(Лист1!B11&lt;=15,IF(Лист1!B19="менее 300 м",550,Лист1!B11*таблица!C13+Лист1!B11*(таблица!C14+таблица!C15+таблица!C16+таблица!C17)),IF(Лист1!B11&lt;=150,Лист1!B11*таблица!D13+Лист1!B11*(таблица!D14+таблица!D15),Лист1!B11*таблица!E13+Лист1!B11*(таблица!E14+таблица!E15+таблица!E16+таблица!E17))),IF(Лист1!B11&lt;=150,Лист1!B11*таблица!G13+Лист1!B11*(таблица!G14+таблица!G15+таблица!G16+таблица!G17),Лист1!B11*таблица!H13+Лист1!B11*(таблица!H14+таблица!H15+таблица!H16+таблица!H17))),IF(Лист1!B15=0.4,IF(Лист1!B11&lt;=15,IF(Лист1!B19="менее 300 м",550+Лист1!B11*таблица!C13+Лист1!B11*(таблица!C14+таблица!C15+таблица!C16+таблица!C17),Лист1!B11*таблица!C13+Лист1!B11*2*(таблица!C14+таблица!C15+таблица!C16+таблица!C17)),IF(Лист1!B11&lt;=150,Лист1!B11*таблица!D13+Лист1!B11*2*(таблица!D14+таблица!D15),Лист1!B11*таблица!E13+Лист1!B11*2*(таблица!E14+таблица!E15+таблица!E16+таблица!E17))),IF(Лист1!B11&lt;=150,Лист1!B11*таблица!G13+Лист1!B11*2*(таблица!G14+таблица!G15+таблица!G16+таблица!G17),Лист1!B11*таблица!H13+Лист1!B11*2*(таблица!H14+таблица!H15+таблица!H16+таблица!H17)))))</f>
        <v>199122.49999999997</v>
      </c>
      <c r="D52" s="4">
        <f>B52*1.18</f>
        <v>234964.54999999996</v>
      </c>
    </row>
    <row r="54" spans="1:4" x14ac:dyDescent="0.25">
      <c r="A54" t="s">
        <v>40</v>
      </c>
      <c r="B54" s="3">
        <f>IF(Лист1!B13="временные",IF(Лист1!B11&lt;=15,550,IF(Лист1!B15=10,Лист1!B11*таблица!G13*1.18,Лист1!B11*E13*1.18)),IF(Лист1!B17=3,IF(Лист1!B15="0.4",IF(Лист1!B11&lt;=15,IF(Лист1!B19="менее 300 м",550,(Лист1!B11*таблица!C13+Лист1!B11*(таблица!C14+таблица!C15+таблица!C16+таблица!C17))*1.18),IF(Лист1!B11&lt;=150,(Лист1!B11*таблица!D13+Лист1!B11*(таблица!D14+таблица!D15))*1.18,(Лист1!B11*таблица!E13+Лист1!B11*(таблица!E14+таблица!E15+таблица!E16+таблица!E17))*1.18)),IF(Лист1!B11&lt;=150,(Лист1!B11*таблица!G13+Лист1!B11*(таблица!G14+таблица!G15+таблица!G16+таблица!G17))*1.18,(Лист1!B11*таблица!H13+Лист1!B11*(таблица!H14+таблица!H15+таблица!H16+таблица!H17))*1.18)),IF(Лист1!B15="0.4",IF(Лист1!B11&lt;=15,IF(Лист1!B19="менее 300 м",550+(Лист1!B11*таблица!C13+Лист1!B11*(таблица!C14+таблица!C15+таблица!C16+таблица!C17))*1.18,(Лист1!B11*таблица!C13+Лист1!B11*2*(таблица!C14+таблица!C15+таблица!C16+таблица!C17))*1.18),IF(Лист1!B11&lt;=150,(Лист1!B11*таблица!D13+Лист1!B11*2*(таблица!D14+таблица!D15))*1.18,(Лист1!B11*таблица!E13+Лист1!B11*2*(таблица!E14+таблица!E15+таблица!E16+таблица!E17))*1.18)),IF(Лист1!B11&lt;=150,(Лист1!B11*таблица!G13+Лист1!B11*2*(таблица!G14+таблица!G15+таблица!G16+таблица!G17))*1.18,(Лист1!B11*таблица!H13+Лист1!B11*2*(таблица!H14+таблица!H15+таблица!H16+таблица!H17))*1.18))))</f>
        <v>143344.33499999999</v>
      </c>
    </row>
  </sheetData>
  <sheetProtection password="9574" sheet="1" objects="1" scenarios="1" formatCells="0" formatColumns="0" formatRows="0" insertColumns="0" insertRows="0" insertHyperlinks="0" deleteColumns="0" deleteRows="0" sort="0" autoFilter="0" pivotTables="0"/>
  <mergeCells count="6">
    <mergeCell ref="B26:C26"/>
    <mergeCell ref="C11:E11"/>
    <mergeCell ref="F11:H11"/>
    <mergeCell ref="C10:H10"/>
    <mergeCell ref="A10:A12"/>
    <mergeCell ref="B10:B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расчет стоимости</vt:lpstr>
      <vt:lpstr>Лист1</vt:lpstr>
      <vt:lpstr>таблица</vt:lpstr>
      <vt:lpstr>'расчет стоимости'!Область_печати</vt:lpstr>
    </vt:vector>
  </TitlesOfParts>
  <Company>КСК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ПТО</dc:creator>
  <cp:lastModifiedBy>Начальник ПТО</cp:lastModifiedBy>
  <cp:lastPrinted>2017-06-22T10:11:22Z</cp:lastPrinted>
  <dcterms:created xsi:type="dcterms:W3CDTF">2017-06-21T07:08:06Z</dcterms:created>
  <dcterms:modified xsi:type="dcterms:W3CDTF">2017-06-29T10:12:36Z</dcterms:modified>
</cp:coreProperties>
</file>